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Hypothèses" state="visible" r:id="rId5"/>
    <sheet sheetId="3" name="Résultat" state="visible" r:id="rId6"/>
    <sheet sheetId="4" name="Résultat (corrigé)" state="visible" r:id="rId7"/>
    <sheet sheetId="5" name="Trésorerie" state="visible" r:id="rId8"/>
    <sheet sheetId="6" name="Trésorerie (corrigé)" state="visible" r:id="rId9"/>
    <sheet sheetId="7" name="Bilan" state="visible" r:id="rId10"/>
    <sheet sheetId="8" name="Bilan (corrigé)" state="visible" r:id="rId11"/>
  </sheets>
  <calcPr calcId="171027" fullCalcOnLoad="1"/>
</workbook>
</file>

<file path=xl/sharedStrings.xml><?xml version="1.0" encoding="utf-8"?>
<sst xmlns="http://schemas.openxmlformats.org/spreadsheetml/2006/main" count="129" uniqueCount="67">
  <si>
    <t>Épisode 45 — Modèle prévisionnel : résultat, trésorerie et bilan</t>
  </si>
  <si>
    <t>Série « Excel de zéro à héros pour la comptabilité et la finance » — ExpertiseComptable.ma</t>
  </si>
  <si>
    <t>Onglet « Hypothèses » : toutes les hypothèses sont dans les cellules jaunes ; aucun chiffre n’est saisi dans les autres onglets.</t>
  </si>
  <si>
    <t>Onglets « Résultat », « Trésorerie » et « Bilan » : complétez les trois années à partir des hypothèses (une formule par ligne, recopiée vers la droite), dans cet ordre.</t>
  </si>
  <si>
    <t>Le bilan doit s’équilibrer : la ligne « Équilibre » affiche OK. Un écart signale une erreur de liaison entre les états (variation du BFR, remboursement d’emprunt, résultats cumulés).</t>
  </si>
  <si>
    <t>Simplifications : modèle hors TVA, IS à 20 % sans cotisation minimale ni contribution sociale, pas de dividendes, emprunt remboursé par annuités constantes, BFR en jours. À adapter à votre dossier.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</si>
  <si>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</si>
  <si>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</si>
  <si>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Hypothèse</t>
  </si>
  <si>
    <t>Année 1</t>
  </si>
  <si>
    <t>Année 2</t>
  </si>
  <si>
    <t>Année 3</t>
  </si>
  <si>
    <t>Chiffre d’affaires HT de l’année 1</t>
  </si>
  <si>
    <t>Croissance du chiffre d’affaires</t>
  </si>
  <si>
    <t>Taux de marge brute</t>
  </si>
  <si>
    <t>Charges de personnel</t>
  </si>
  <si>
    <t>Autres charges externes</t>
  </si>
  <si>
    <t>Investissement (année 1)</t>
  </si>
  <si>
    <t>Durée d’amortissement (ans)</t>
  </si>
  <si>
    <t>Emprunt contracté (année 1)</t>
  </si>
  <si>
    <t>Taux d’intérêt annuel</t>
  </si>
  <si>
    <t>Durée de l’emprunt (ans)</t>
  </si>
  <si>
    <t>Apport en capital (année 1)</t>
  </si>
  <si>
    <t>Taux d’impôt sur les sociétés</t>
  </si>
  <si>
    <t>Stocks (jours de coût d’achat)</t>
  </si>
  <si>
    <t>Clients (jours de chiffre d’affaires)</t>
  </si>
  <si>
    <t>Fournisseurs (jours d’achats)</t>
  </si>
  <si>
    <t>Jours de l’année</t>
  </si>
  <si>
    <t>N° de l’année</t>
  </si>
  <si>
    <t>Compte de résultat</t>
  </si>
  <si>
    <t>Chiffre d’affaires</t>
  </si>
  <si>
    <t>Achats consommés</t>
  </si>
  <si>
    <t>Marge brute</t>
  </si>
  <si>
    <t>Excédent brut d’exploitation</t>
  </si>
  <si>
    <t>Dotations aux amortissements</t>
  </si>
  <si>
    <t>Résultat d’exploitation</t>
  </si>
  <si>
    <t>Charges d’intérêts</t>
  </si>
  <si>
    <t>Résultat avant impôt</t>
  </si>
  <si>
    <t>Impôt sur les sociétés</t>
  </si>
  <si>
    <t>Résultat net</t>
  </si>
  <si>
    <t>Plan de trésorerie</t>
  </si>
  <si>
    <t>+ Dotations aux amortissements</t>
  </si>
  <si>
    <t>− Variation du BFR</t>
  </si>
  <si>
    <t>Flux d’exploitation</t>
  </si>
  <si>
    <t>Investissement</t>
  </si>
  <si>
    <t>Apport en capital</t>
  </si>
  <si>
    <t>Emprunt reçu</t>
  </si>
  <si>
    <t>Remboursement du capital</t>
  </si>
  <si>
    <t>Flux d’investissement et de financement</t>
  </si>
  <si>
    <t>Variation de trésorerie</t>
  </si>
  <si>
    <t>Trésorerie en début d’année</t>
  </si>
  <si>
    <t>Trésorerie en fin d’année</t>
  </si>
  <si>
    <t>Bilan</t>
  </si>
  <si>
    <t>Stocks</t>
  </si>
  <si>
    <t>Clients</t>
  </si>
  <si>
    <t>Fournisseurs</t>
  </si>
  <si>
    <t>Besoin en fonds de roulement</t>
  </si>
  <si>
    <t>Immobilisations nettes</t>
  </si>
  <si>
    <t>Trésorerie</t>
  </si>
  <si>
    <t>TOTAL ACTIF</t>
  </si>
  <si>
    <t>Capital</t>
  </si>
  <si>
    <t>Résultats cumulés</t>
  </si>
  <si>
    <t>Emprunt restant dû</t>
  </si>
  <si>
    <t>Dettes fournisseurs</t>
  </si>
  <si>
    <t>TOTAL PASSIF</t>
  </si>
  <si>
    <t>Écart actif − passif</t>
  </si>
  <si>
    <t>Équilibre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</si>
</sst>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;[Red](#,##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/>
    <xf numFmtId="9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3" fillId="0" borderId="1" xfId="0" applyFont="1" applyBorder="1"/>
    <xf numFmtId="165" fontId="0" fillId="3" borderId="1" xfId="0" applyNumberFormat="1" applyFill="1" applyBorder="1"/>
    <xf numFmtId="0" fontId="3" fillId="4" borderId="1" xfId="0" applyFont="1" applyFill="1" applyBorder="1"/>
    <xf numFmtId="3" fontId="0" fillId="0" borderId="1" xfId="0" applyNumberFormat="1" applyBorder="1"/>
    <xf numFmtId="3" fontId="3" fillId="0" borderId="1" xfId="0" applyNumberFormat="1" applyFont="1" applyBorder="1"/>
    <xf numFmtId="165" fontId="3" fillId="0" borderId="1" xfId="0" applyNumberFormat="1" applyFont="1" applyBorder="1"/>
    <xf numFmtId="165" fontId="3" fillId="4" borderId="1" xfId="0" applyNumberFormat="1" applyFont="1" applyFill="1" applyBorder="1"/>
    <xf numFmtId="165" fontId="0" fillId="0" borderId="1" xfId="0" applyNumberFormat="1" applyBorder="1"/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.857142857142854" customWidth="1"/>
    <col min="2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8">
        <v>2400000</v>
      </c>
    </row>
    <row r="3" spans="1:4" x14ac:dyDescent="0.25">
      <c r="A3" s="7" t="s">
        <v>13</v>
      </c>
      <c r="C3" s="9">
        <v>0.15</v>
      </c>
      <c r="D3" s="9">
        <v>0.1</v>
      </c>
    </row>
    <row r="4" spans="1:4" x14ac:dyDescent="0.25">
      <c r="A4" s="7" t="s">
        <v>14</v>
      </c>
      <c r="B4" s="9">
        <v>0.4</v>
      </c>
      <c r="C4" s="9">
        <v>0.4</v>
      </c>
      <c r="D4" s="9">
        <v>0.4</v>
      </c>
    </row>
    <row r="5" spans="1:4" x14ac:dyDescent="0.25">
      <c r="A5" s="7" t="s">
        <v>15</v>
      </c>
      <c r="B5" s="8">
        <v>480000</v>
      </c>
      <c r="C5" s="8">
        <v>504000</v>
      </c>
      <c r="D5" s="8">
        <v>529200</v>
      </c>
    </row>
    <row r="6" spans="1:4" x14ac:dyDescent="0.25">
      <c r="A6" s="7" t="s">
        <v>16</v>
      </c>
      <c r="B6" s="8">
        <v>300000</v>
      </c>
      <c r="C6" s="8">
        <v>315000</v>
      </c>
      <c r="D6" s="8">
        <v>330750</v>
      </c>
    </row>
    <row r="7" spans="1:4" x14ac:dyDescent="0.25">
      <c r="A7" s="7" t="s">
        <v>17</v>
      </c>
      <c r="B7" s="8">
        <v>600000</v>
      </c>
    </row>
    <row r="8" spans="1:4" x14ac:dyDescent="0.25">
      <c r="A8" s="7" t="s">
        <v>18</v>
      </c>
      <c r="B8" s="10">
        <v>5</v>
      </c>
    </row>
    <row r="9" spans="1:4" x14ac:dyDescent="0.25">
      <c r="A9" s="7" t="s">
        <v>19</v>
      </c>
      <c r="B9" s="8">
        <v>500000</v>
      </c>
    </row>
    <row r="10" spans="1:4" x14ac:dyDescent="0.25">
      <c r="A10" s="7" t="s">
        <v>20</v>
      </c>
      <c r="B10" s="11">
        <v>0.06</v>
      </c>
    </row>
    <row r="11" spans="1:4" x14ac:dyDescent="0.25">
      <c r="A11" s="7" t="s">
        <v>21</v>
      </c>
      <c r="B11" s="10">
        <v>5</v>
      </c>
    </row>
    <row r="12" spans="1:4" x14ac:dyDescent="0.25">
      <c r="A12" s="7" t="s">
        <v>22</v>
      </c>
      <c r="B12" s="8">
        <v>400000</v>
      </c>
    </row>
    <row r="13" spans="1:4" x14ac:dyDescent="0.25">
      <c r="A13" s="7" t="s">
        <v>23</v>
      </c>
      <c r="B13" s="9">
        <v>0.2</v>
      </c>
    </row>
    <row r="14" spans="1:4" x14ac:dyDescent="0.25">
      <c r="A14" s="7" t="s">
        <v>24</v>
      </c>
      <c r="B14" s="10">
        <v>40</v>
      </c>
    </row>
    <row r="15" spans="1:4" x14ac:dyDescent="0.25">
      <c r="A15" s="7" t="s">
        <v>25</v>
      </c>
      <c r="B15" s="10">
        <v>45</v>
      </c>
    </row>
    <row r="16" spans="1:4" x14ac:dyDescent="0.25">
      <c r="A16" s="7" t="s">
        <v>26</v>
      </c>
      <c r="B16" s="10">
        <v>45</v>
      </c>
    </row>
    <row r="17" spans="1:4" x14ac:dyDescent="0.25">
      <c r="A17" s="7" t="s">
        <v>27</v>
      </c>
      <c r="B17" s="10">
        <v>360</v>
      </c>
    </row>
    <row r="18" spans="1:4" x14ac:dyDescent="0.25">
      <c r="A18" s="7" t="s">
        <v>28</v>
      </c>
      <c r="B18" s="7">
        <v>1</v>
      </c>
      <c r="C18" s="7">
        <v>2</v>
      </c>
      <c r="D18" s="7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29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30</v>
      </c>
      <c r="B2" s="8"/>
      <c r="C2" s="8"/>
      <c r="D2" s="8"/>
    </row>
    <row r="3" spans="1:4" x14ac:dyDescent="0.25">
      <c r="A3" s="7" t="s">
        <v>31</v>
      </c>
      <c r="B3" s="8"/>
      <c r="C3" s="8"/>
      <c r="D3" s="8"/>
    </row>
    <row r="4" spans="1:4" x14ac:dyDescent="0.25">
      <c r="A4" s="12" t="s">
        <v>32</v>
      </c>
      <c r="B4" s="8"/>
      <c r="C4" s="8"/>
      <c r="D4" s="8"/>
    </row>
    <row r="5" spans="1:4" x14ac:dyDescent="0.25">
      <c r="A5" s="7" t="s">
        <v>15</v>
      </c>
      <c r="B5" s="8"/>
      <c r="C5" s="8"/>
      <c r="D5" s="8"/>
    </row>
    <row r="6" spans="1:4" x14ac:dyDescent="0.25">
      <c r="A6" s="7" t="s">
        <v>16</v>
      </c>
      <c r="B6" s="8"/>
      <c r="C6" s="8"/>
      <c r="D6" s="8"/>
    </row>
    <row r="7" spans="1:4" x14ac:dyDescent="0.25">
      <c r="A7" s="12" t="s">
        <v>33</v>
      </c>
      <c r="B7" s="13"/>
      <c r="C7" s="13"/>
      <c r="D7" s="13"/>
    </row>
    <row r="8" spans="1:4" x14ac:dyDescent="0.25">
      <c r="A8" s="7" t="s">
        <v>34</v>
      </c>
      <c r="B8" s="8"/>
      <c r="C8" s="8"/>
      <c r="D8" s="8"/>
    </row>
    <row r="9" spans="1:4" x14ac:dyDescent="0.25">
      <c r="A9" s="12" t="s">
        <v>35</v>
      </c>
      <c r="B9" s="13"/>
      <c r="C9" s="13"/>
      <c r="D9" s="13"/>
    </row>
    <row r="10" spans="1:4" x14ac:dyDescent="0.25">
      <c r="A10" s="7" t="s">
        <v>36</v>
      </c>
      <c r="B10" s="8"/>
      <c r="C10" s="8"/>
      <c r="D10" s="8"/>
    </row>
    <row r="11" spans="1:4" x14ac:dyDescent="0.25">
      <c r="A11" s="12" t="s">
        <v>37</v>
      </c>
      <c r="B11" s="13"/>
      <c r="C11" s="13"/>
      <c r="D11" s="13"/>
    </row>
    <row r="12" spans="1:4" x14ac:dyDescent="0.25">
      <c r="A12" s="7" t="s">
        <v>38</v>
      </c>
      <c r="B12" s="8"/>
      <c r="C12" s="8"/>
      <c r="D12" s="8"/>
    </row>
    <row r="13" spans="1:4" x14ac:dyDescent="0.25">
      <c r="A13" s="14" t="s">
        <v>39</v>
      </c>
      <c r="B13" s="13"/>
      <c r="C13" s="13"/>
      <c r="D1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29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30</v>
      </c>
      <c r="B2" s="15">
        <f>Hypothèses!B2</f>
        <v>2400000</v>
      </c>
      <c r="C2" s="15">
        <f>B2*(1+Hypothèses!C3)</f>
        <v>2760000</v>
      </c>
      <c r="D2" s="15">
        <f>C2*(1+Hypothèses!D3)</f>
        <v>3036000</v>
      </c>
    </row>
    <row r="3" spans="1:4" x14ac:dyDescent="0.25">
      <c r="A3" s="7" t="s">
        <v>31</v>
      </c>
      <c r="B3" s="15">
        <f>ROUND(B2*(1-Hypothèses!B4),0)</f>
        <v>1440000</v>
      </c>
      <c r="C3" s="15">
        <f>ROUND(C2*(1-Hypothèses!C4),0)</f>
        <v>1656000</v>
      </c>
      <c r="D3" s="15">
        <f>ROUND(D2*(1-Hypothèses!D4),0)</f>
        <v>1821600</v>
      </c>
    </row>
    <row r="4" spans="1:4" x14ac:dyDescent="0.25">
      <c r="A4" s="12" t="s">
        <v>32</v>
      </c>
      <c r="B4" s="16">
        <f>B2-B3</f>
        <v>960000</v>
      </c>
      <c r="C4" s="16">
        <f>C2-C3</f>
        <v>1104000</v>
      </c>
      <c r="D4" s="16">
        <f>D2-D3</f>
        <v>1214400</v>
      </c>
    </row>
    <row r="5" spans="1:4" x14ac:dyDescent="0.25">
      <c r="A5" s="7" t="s">
        <v>15</v>
      </c>
      <c r="B5" s="15">
        <f>Hypothèses!B5</f>
        <v>480000</v>
      </c>
      <c r="C5" s="15">
        <f>Hypothèses!C5</f>
        <v>504000</v>
      </c>
      <c r="D5" s="15">
        <f>Hypothèses!D5</f>
        <v>529200</v>
      </c>
    </row>
    <row r="6" spans="1:4" x14ac:dyDescent="0.25">
      <c r="A6" s="7" t="s">
        <v>16</v>
      </c>
      <c r="B6" s="15">
        <f>Hypothèses!B6</f>
        <v>300000</v>
      </c>
      <c r="C6" s="15">
        <f>Hypothèses!C6</f>
        <v>315000</v>
      </c>
      <c r="D6" s="15">
        <f>Hypothèses!D6</f>
        <v>330750</v>
      </c>
    </row>
    <row r="7" spans="1:4" x14ac:dyDescent="0.25">
      <c r="A7" s="12" t="s">
        <v>33</v>
      </c>
      <c r="B7" s="17">
        <f>B4-B5-B6</f>
        <v>180000</v>
      </c>
      <c r="C7" s="17">
        <f>C4-C5-C6</f>
        <v>285000</v>
      </c>
      <c r="D7" s="17">
        <f>D4-D5-D6</f>
        <v>354450</v>
      </c>
    </row>
    <row r="8" spans="1:4" x14ac:dyDescent="0.25">
      <c r="A8" s="7" t="s">
        <v>34</v>
      </c>
      <c r="B8" s="15">
        <f>ROUND(Hypothèses!$B$7/Hypothèses!$B$8,0)</f>
        <v>120000</v>
      </c>
      <c r="C8" s="15">
        <f>ROUND(Hypothèses!$B$7/Hypothèses!$B$8,0)</f>
        <v>120000</v>
      </c>
      <c r="D8" s="15">
        <f>ROUND(Hypothèses!$B$7/Hypothèses!$B$8,0)</f>
        <v>120000</v>
      </c>
    </row>
    <row r="9" spans="1:4" x14ac:dyDescent="0.25">
      <c r="A9" s="12" t="s">
        <v>35</v>
      </c>
      <c r="B9" s="17">
        <f>B7-B8</f>
        <v>60000</v>
      </c>
      <c r="C9" s="17">
        <f>C7-C8</f>
        <v>165000</v>
      </c>
      <c r="D9" s="17">
        <f>D7-D8</f>
        <v>234450</v>
      </c>
    </row>
    <row r="10" spans="1:4" x14ac:dyDescent="0.25">
      <c r="A10" s="7" t="s">
        <v>36</v>
      </c>
      <c r="B10" s="15">
        <f>ROUND(-IPMT(Hypothèses!$B$10,Hypothèses!B18,Hypothèses!$B$11,Hypothèses!$B$9),0)</f>
        <v>30000</v>
      </c>
      <c r="C10" s="15">
        <f>ROUND(-IPMT(Hypothèses!$B$10,Hypothèses!C18,Hypothèses!$B$11,Hypothèses!$B$9),0)</f>
        <v>24678</v>
      </c>
      <c r="D10" s="15">
        <f>ROUND(-IPMT(Hypothèses!$B$10,Hypothèses!D18,Hypothèses!$B$11,Hypothèses!$B$9),0)</f>
        <v>19037</v>
      </c>
    </row>
    <row r="11" spans="1:4" x14ac:dyDescent="0.25">
      <c r="A11" s="12" t="s">
        <v>37</v>
      </c>
      <c r="B11" s="17">
        <f>B9-B10</f>
        <v>30000</v>
      </c>
      <c r="C11" s="17">
        <f>C9-C10</f>
        <v>140322</v>
      </c>
      <c r="D11" s="17">
        <f>D9-D10</f>
        <v>215413</v>
      </c>
    </row>
    <row r="12" spans="1:4" x14ac:dyDescent="0.25">
      <c r="A12" s="7" t="s">
        <v>38</v>
      </c>
      <c r="B12" s="15">
        <f>ROUND(MAX(0,B11)*Hypothèses!$B$13,0)</f>
        <v>6000</v>
      </c>
      <c r="C12" s="15">
        <f>ROUND(MAX(0,C11)*Hypothèses!$B$13,0)</f>
        <v>28064</v>
      </c>
      <c r="D12" s="15">
        <f>ROUND(MAX(0,D11)*Hypothèses!$B$13,0)</f>
        <v>43083</v>
      </c>
    </row>
    <row r="13" spans="1:4" x14ac:dyDescent="0.25">
      <c r="A13" s="14" t="s">
        <v>39</v>
      </c>
      <c r="B13" s="18">
        <f>B11-B12</f>
        <v>24000</v>
      </c>
      <c r="C13" s="18">
        <f>C11-C12</f>
        <v>112258</v>
      </c>
      <c r="D13" s="18">
        <f>D11-D12</f>
        <v>172330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40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39</v>
      </c>
      <c r="B2" s="13"/>
      <c r="C2" s="13"/>
      <c r="D2" s="13"/>
    </row>
    <row r="3" spans="1:4" x14ac:dyDescent="0.25">
      <c r="A3" s="7" t="s">
        <v>41</v>
      </c>
      <c r="B3" s="13"/>
      <c r="C3" s="13"/>
      <c r="D3" s="13"/>
    </row>
    <row r="4" spans="1:4" x14ac:dyDescent="0.25">
      <c r="A4" s="7" t="s">
        <v>42</v>
      </c>
      <c r="B4" s="13"/>
      <c r="C4" s="13"/>
      <c r="D4" s="13"/>
    </row>
    <row r="5" spans="1:4" x14ac:dyDescent="0.25">
      <c r="A5" s="12" t="s">
        <v>43</v>
      </c>
      <c r="B5" s="13"/>
      <c r="C5" s="13"/>
      <c r="D5" s="13"/>
    </row>
    <row r="6" spans="1:4" x14ac:dyDescent="0.25">
      <c r="A6" s="7" t="s">
        <v>44</v>
      </c>
      <c r="B6" s="13"/>
      <c r="C6" s="13"/>
      <c r="D6" s="13"/>
    </row>
    <row r="7" spans="1:4" x14ac:dyDescent="0.25">
      <c r="A7" s="7" t="s">
        <v>45</v>
      </c>
      <c r="B7" s="13"/>
      <c r="C7" s="13"/>
      <c r="D7" s="13"/>
    </row>
    <row r="8" spans="1:4" x14ac:dyDescent="0.25">
      <c r="A8" s="7" t="s">
        <v>46</v>
      </c>
      <c r="B8" s="13"/>
      <c r="C8" s="13"/>
      <c r="D8" s="13"/>
    </row>
    <row r="9" spans="1:4" x14ac:dyDescent="0.25">
      <c r="A9" s="7" t="s">
        <v>47</v>
      </c>
      <c r="B9" s="13"/>
      <c r="C9" s="13"/>
      <c r="D9" s="13"/>
    </row>
    <row r="10" spans="1:4" x14ac:dyDescent="0.25">
      <c r="A10" s="12" t="s">
        <v>48</v>
      </c>
      <c r="B10" s="13"/>
      <c r="C10" s="13"/>
      <c r="D10" s="13"/>
    </row>
    <row r="11" spans="1:4" x14ac:dyDescent="0.25">
      <c r="A11" s="12" t="s">
        <v>49</v>
      </c>
      <c r="B11" s="13"/>
      <c r="C11" s="13"/>
      <c r="D11" s="13"/>
    </row>
    <row r="12" spans="1:4" x14ac:dyDescent="0.25">
      <c r="A12" s="7" t="s">
        <v>50</v>
      </c>
      <c r="B12" s="13"/>
      <c r="C12" s="13"/>
      <c r="D12" s="13"/>
    </row>
    <row r="13" spans="1:4" x14ac:dyDescent="0.25">
      <c r="A13" s="14" t="s">
        <v>51</v>
      </c>
      <c r="B13" s="13"/>
      <c r="C13" s="13"/>
      <c r="D1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40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39</v>
      </c>
      <c r="B2" s="19">
        <f>Résultat!B13</f>
        <v>24000</v>
      </c>
      <c r="C2" s="19">
        <f>Résultat!C13</f>
        <v>112258</v>
      </c>
      <c r="D2" s="19">
        <f>Résultat!D13</f>
        <v>172330</v>
      </c>
    </row>
    <row r="3" spans="1:4" x14ac:dyDescent="0.25">
      <c r="A3" s="7" t="s">
        <v>41</v>
      </c>
      <c r="B3" s="19">
        <f>Résultat!B8</f>
        <v>120000</v>
      </c>
      <c r="C3" s="19">
        <f>Résultat!C8</f>
        <v>120000</v>
      </c>
      <c r="D3" s="19">
        <f>Résultat!D8</f>
        <v>120000</v>
      </c>
    </row>
    <row r="4" spans="1:4" x14ac:dyDescent="0.25">
      <c r="A4" s="7" t="s">
        <v>42</v>
      </c>
      <c r="B4" s="19">
        <f>-Bilan!B5</f>
        <v>-280000</v>
      </c>
      <c r="C4" s="19">
        <f>-(Bilan!C5-Bilan!B5)</f>
        <v>-42000</v>
      </c>
      <c r="D4" s="19">
        <f>-(Bilan!D5-Bilan!C5)</f>
        <v>-32200</v>
      </c>
    </row>
    <row r="5" spans="1:4" x14ac:dyDescent="0.25">
      <c r="A5" s="12" t="s">
        <v>43</v>
      </c>
      <c r="B5" s="17">
        <f>SUM(B2:B4)</f>
        <v>-136000</v>
      </c>
      <c r="C5" s="17">
        <f>SUM(C2:C4)</f>
        <v>190258</v>
      </c>
      <c r="D5" s="17">
        <f>SUM(D2:D4)</f>
        <v>260130</v>
      </c>
    </row>
    <row r="6" spans="1:4" x14ac:dyDescent="0.25">
      <c r="A6" s="7" t="s">
        <v>44</v>
      </c>
      <c r="B6" s="19">
        <f>-IF(Hypothèses!B18=1,Hypothèses!$B$7,0)</f>
        <v>-600000</v>
      </c>
      <c r="C6" s="19">
        <f>-IF(Hypothèses!C18=1,Hypothèses!$B$7,0)</f>
        <v>0</v>
      </c>
      <c r="D6" s="19">
        <f>-IF(Hypothèses!D18=1,Hypothèses!$B$7,0)</f>
        <v>0</v>
      </c>
    </row>
    <row r="7" spans="1:4" x14ac:dyDescent="0.25">
      <c r="A7" s="7" t="s">
        <v>45</v>
      </c>
      <c r="B7" s="19">
        <f>IF(Hypothèses!B18=1,Hypothèses!$B$12,0)</f>
        <v>400000</v>
      </c>
      <c r="C7" s="19">
        <f>IF(Hypothèses!C18=1,Hypothèses!$B$12,0)</f>
        <v>0</v>
      </c>
      <c r="D7" s="19">
        <f>IF(Hypothèses!D18=1,Hypothèses!$B$12,0)</f>
        <v>0</v>
      </c>
    </row>
    <row r="8" spans="1:4" x14ac:dyDescent="0.25">
      <c r="A8" s="7" t="s">
        <v>46</v>
      </c>
      <c r="B8" s="19">
        <f>IF(Hypothèses!B18=1,Hypothèses!$B$9,0)</f>
        <v>500000</v>
      </c>
      <c r="C8" s="19">
        <f>IF(Hypothèses!C18=1,Hypothèses!$B$9,0)</f>
        <v>0</v>
      </c>
      <c r="D8" s="19">
        <f>IF(Hypothèses!D18=1,Hypothèses!$B$9,0)</f>
        <v>0</v>
      </c>
    </row>
    <row r="9" spans="1:4" x14ac:dyDescent="0.25">
      <c r="A9" s="7" t="s">
        <v>47</v>
      </c>
      <c r="B9" s="19">
        <f>ROUND(PPMT(Hypothèses!$B$10,Hypothèses!B18,Hypothèses!$B$11,Hypothèses!$B$9),0)</f>
        <v>-88698</v>
      </c>
      <c r="C9" s="19">
        <f>ROUND(PPMT(Hypothèses!$B$10,Hypothèses!C18,Hypothèses!$B$11,Hypothèses!$B$9),0)</f>
        <v>-94020</v>
      </c>
      <c r="D9" s="19">
        <f>ROUND(PPMT(Hypothèses!$B$10,Hypothèses!D18,Hypothèses!$B$11,Hypothèses!$B$9),0)</f>
        <v>-99661</v>
      </c>
    </row>
    <row r="10" spans="1:4" x14ac:dyDescent="0.25">
      <c r="A10" s="12" t="s">
        <v>48</v>
      </c>
      <c r="B10" s="17">
        <f>SUM(B6:B9)</f>
        <v>211302</v>
      </c>
      <c r="C10" s="17">
        <f>SUM(C6:C9)</f>
        <v>-94020</v>
      </c>
      <c r="D10" s="17">
        <f>SUM(D6:D9)</f>
        <v>-99661</v>
      </c>
    </row>
    <row r="11" spans="1:4" x14ac:dyDescent="0.25">
      <c r="A11" s="12" t="s">
        <v>49</v>
      </c>
      <c r="B11" s="17">
        <f>B5+B10</f>
        <v>75302</v>
      </c>
      <c r="C11" s="17">
        <f>C5+C10</f>
        <v>96238</v>
      </c>
      <c r="D11" s="17">
        <f>D5+D10</f>
        <v>160469</v>
      </c>
    </row>
    <row r="12" spans="1:4" x14ac:dyDescent="0.25">
      <c r="A12" s="7" t="s">
        <v>50</v>
      </c>
      <c r="B12" s="19">
        <f>0</f>
        <v>0</v>
      </c>
      <c r="C12" s="19">
        <f>B13</f>
        <v>75302</v>
      </c>
      <c r="D12" s="19">
        <f>C13</f>
        <v>171540</v>
      </c>
    </row>
    <row r="13" spans="1:4" x14ac:dyDescent="0.25">
      <c r="A13" s="14" t="s">
        <v>51</v>
      </c>
      <c r="B13" s="18">
        <f>B12+B11</f>
        <v>75302</v>
      </c>
      <c r="C13" s="18">
        <f>C12+C11</f>
        <v>171540</v>
      </c>
      <c r="D13" s="18">
        <f>D12+D11</f>
        <v>332009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52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53</v>
      </c>
      <c r="B2" s="8"/>
      <c r="C2" s="8"/>
      <c r="D2" s="8"/>
    </row>
    <row r="3" spans="1:4" x14ac:dyDescent="0.25">
      <c r="A3" s="7" t="s">
        <v>54</v>
      </c>
      <c r="B3" s="8"/>
      <c r="C3" s="8"/>
      <c r="D3" s="8"/>
    </row>
    <row r="4" spans="1:4" x14ac:dyDescent="0.25">
      <c r="A4" s="7" t="s">
        <v>55</v>
      </c>
      <c r="B4" s="8"/>
      <c r="C4" s="8"/>
      <c r="D4" s="8"/>
    </row>
    <row r="5" spans="1:4" x14ac:dyDescent="0.25">
      <c r="A5" s="12" t="s">
        <v>56</v>
      </c>
      <c r="B5" s="8"/>
      <c r="C5" s="8"/>
      <c r="D5" s="8"/>
    </row>
    <row r="6" spans="1:4" x14ac:dyDescent="0.25">
      <c r="A6" s="7" t="s">
        <v>57</v>
      </c>
      <c r="B6" s="8"/>
      <c r="C6" s="8"/>
      <c r="D6" s="8"/>
    </row>
    <row r="7" spans="1:4" x14ac:dyDescent="0.25">
      <c r="A7" s="7" t="s">
        <v>58</v>
      </c>
      <c r="B7" s="13"/>
      <c r="C7" s="13"/>
      <c r="D7" s="13"/>
    </row>
    <row r="8" spans="1:4" x14ac:dyDescent="0.25">
      <c r="A8" s="20" t="s">
        <v>59</v>
      </c>
      <c r="B8" s="13"/>
      <c r="C8" s="13"/>
      <c r="D8" s="13"/>
    </row>
    <row r="9" spans="1:4" x14ac:dyDescent="0.25">
      <c r="A9" s="7" t="s">
        <v>60</v>
      </c>
      <c r="B9" s="8"/>
      <c r="C9" s="8"/>
      <c r="D9" s="8"/>
    </row>
    <row r="10" spans="1:4" x14ac:dyDescent="0.25">
      <c r="A10" s="7" t="s">
        <v>61</v>
      </c>
      <c r="B10" s="13"/>
      <c r="C10" s="13"/>
      <c r="D10" s="13"/>
    </row>
    <row r="11" spans="1:4" x14ac:dyDescent="0.25">
      <c r="A11" s="7" t="s">
        <v>62</v>
      </c>
      <c r="B11" s="8"/>
      <c r="C11" s="8"/>
      <c r="D11" s="8"/>
    </row>
    <row r="12" spans="1:4" x14ac:dyDescent="0.25">
      <c r="A12" s="7" t="s">
        <v>63</v>
      </c>
      <c r="B12" s="8"/>
      <c r="C12" s="8"/>
      <c r="D12" s="8"/>
    </row>
    <row r="13" spans="1:4" x14ac:dyDescent="0.25">
      <c r="A13" s="20" t="s">
        <v>64</v>
      </c>
      <c r="B13" s="13"/>
      <c r="C13" s="13"/>
      <c r="D13" s="13"/>
    </row>
    <row r="14" spans="1:4" x14ac:dyDescent="0.25">
      <c r="A14" s="12" t="s">
        <v>65</v>
      </c>
      <c r="B14" s="8"/>
      <c r="C14" s="8"/>
      <c r="D14" s="8"/>
    </row>
    <row r="15" spans="1:4" x14ac:dyDescent="0.25">
      <c r="A15" s="12" t="s">
        <v>66</v>
      </c>
      <c r="B15" s="10"/>
      <c r="C15" s="10"/>
      <c r="D15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5.714285714285714" customWidth="1"/>
  </cols>
  <sheetData>
    <row r="1" spans="1:4" x14ac:dyDescent="0.25">
      <c r="A1" s="6" t="s">
        <v>52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53</v>
      </c>
      <c r="B2" s="15">
        <f>ROUND(Résultat!B3*Hypothèses!$B$14/Hypothèses!$B$17,0)</f>
        <v>160000</v>
      </c>
      <c r="C2" s="15">
        <f>ROUND(Résultat!C3*Hypothèses!$B$14/Hypothèses!$B$17,0)</f>
        <v>184000</v>
      </c>
      <c r="D2" s="15">
        <f>ROUND(Résultat!D3*Hypothèses!$B$14/Hypothèses!$B$17,0)</f>
        <v>202400</v>
      </c>
    </row>
    <row r="3" spans="1:4" x14ac:dyDescent="0.25">
      <c r="A3" s="7" t="s">
        <v>54</v>
      </c>
      <c r="B3" s="15">
        <f>ROUND(Résultat!B2*Hypothèses!$B$15/Hypothèses!$B$17,0)</f>
        <v>300000</v>
      </c>
      <c r="C3" s="15">
        <f>ROUND(Résultat!C2*Hypothèses!$B$15/Hypothèses!$B$17,0)</f>
        <v>345000</v>
      </c>
      <c r="D3" s="15">
        <f>ROUND(Résultat!D2*Hypothèses!$B$15/Hypothèses!$B$17,0)</f>
        <v>379500</v>
      </c>
    </row>
    <row r="4" spans="1:4" x14ac:dyDescent="0.25">
      <c r="A4" s="7" t="s">
        <v>55</v>
      </c>
      <c r="B4" s="15">
        <f>ROUND(Résultat!B3*Hypothèses!$B$16/Hypothèses!$B$17,0)</f>
        <v>180000</v>
      </c>
      <c r="C4" s="15">
        <f>ROUND(Résultat!C3*Hypothèses!$B$16/Hypothèses!$B$17,0)</f>
        <v>207000</v>
      </c>
      <c r="D4" s="15">
        <f>ROUND(Résultat!D3*Hypothèses!$B$16/Hypothèses!$B$17,0)</f>
        <v>227700</v>
      </c>
    </row>
    <row r="5" spans="1:4" x14ac:dyDescent="0.25">
      <c r="A5" s="12" t="s">
        <v>56</v>
      </c>
      <c r="B5" s="16">
        <f>B2+B3-B4</f>
        <v>280000</v>
      </c>
      <c r="C5" s="16">
        <f>C2+C3-C4</f>
        <v>322000</v>
      </c>
      <c r="D5" s="16">
        <f>D2+D3-D4</f>
        <v>354200</v>
      </c>
    </row>
    <row r="6" spans="1:4" x14ac:dyDescent="0.25">
      <c r="A6" s="7" t="s">
        <v>57</v>
      </c>
      <c r="B6" s="15">
        <f>Hypothèses!$B$7-SUM(Résultat!$B$8:B8)</f>
        <v>480000</v>
      </c>
      <c r="C6" s="15">
        <f>Hypothèses!$B$7-SUM(Résultat!$B$8:C8)</f>
        <v>360000</v>
      </c>
      <c r="D6" s="15">
        <f>Hypothèses!$B$7-SUM(Résultat!$B$8:D8)</f>
        <v>240000</v>
      </c>
    </row>
    <row r="7" spans="1:4" x14ac:dyDescent="0.25">
      <c r="A7" s="7" t="s">
        <v>58</v>
      </c>
      <c r="B7" s="19">
        <f>Trésorerie!B13</f>
        <v>75302</v>
      </c>
      <c r="C7" s="19">
        <f>Trésorerie!C13</f>
        <v>171540</v>
      </c>
      <c r="D7" s="19">
        <f>Trésorerie!D13</f>
        <v>332009</v>
      </c>
    </row>
    <row r="8" spans="1:4" x14ac:dyDescent="0.25">
      <c r="A8" s="20" t="s">
        <v>59</v>
      </c>
      <c r="B8" s="21">
        <f>B2+B3+B6+B7</f>
        <v>1015302</v>
      </c>
      <c r="C8" s="21">
        <f>C2+C3+C6+C7</f>
        <v>1060540</v>
      </c>
      <c r="D8" s="21">
        <f>D2+D3+D6+D7</f>
        <v>1153909</v>
      </c>
    </row>
    <row r="9" spans="1:4" x14ac:dyDescent="0.25">
      <c r="A9" s="7" t="s">
        <v>60</v>
      </c>
      <c r="B9" s="15">
        <f>Hypothèses!$B$12</f>
        <v>400000</v>
      </c>
      <c r="C9" s="15">
        <f>Hypothèses!$B$12</f>
        <v>400000</v>
      </c>
      <c r="D9" s="15">
        <f>Hypothèses!$B$12</f>
        <v>400000</v>
      </c>
    </row>
    <row r="10" spans="1:4" x14ac:dyDescent="0.25">
      <c r="A10" s="7" t="s">
        <v>61</v>
      </c>
      <c r="B10" s="19">
        <f>SUM(Résultat!$B$13:B13)</f>
        <v>24000</v>
      </c>
      <c r="C10" s="19">
        <f>SUM(Résultat!$B$13:C13)</f>
        <v>136258</v>
      </c>
      <c r="D10" s="19">
        <f>SUM(Résultat!$B$13:D13)</f>
        <v>308588</v>
      </c>
    </row>
    <row r="11" spans="1:4" x14ac:dyDescent="0.25">
      <c r="A11" s="7" t="s">
        <v>62</v>
      </c>
      <c r="B11" s="15">
        <f>Hypothèses!$B$9+SUM(Trésorerie!$B$9:B9)</f>
        <v>411302</v>
      </c>
      <c r="C11" s="15">
        <f>Hypothèses!$B$9+SUM(Trésorerie!$B$9:C9)</f>
        <v>317282</v>
      </c>
      <c r="D11" s="15">
        <f>Hypothèses!$B$9+SUM(Trésorerie!$B$9:D9)</f>
        <v>217621</v>
      </c>
    </row>
    <row r="12" spans="1:4" x14ac:dyDescent="0.25">
      <c r="A12" s="7" t="s">
        <v>63</v>
      </c>
      <c r="B12" s="15">
        <f>B4</f>
        <v>180000</v>
      </c>
      <c r="C12" s="15">
        <f>C4</f>
        <v>207000</v>
      </c>
      <c r="D12" s="15">
        <f>D4</f>
        <v>227700</v>
      </c>
    </row>
    <row r="13" spans="1:4" x14ac:dyDescent="0.25">
      <c r="A13" s="20" t="s">
        <v>64</v>
      </c>
      <c r="B13" s="21">
        <f>B9+B10+B11+B12</f>
        <v>1015302</v>
      </c>
      <c r="C13" s="21">
        <f>C9+C10+C11+C12</f>
        <v>1060540</v>
      </c>
      <c r="D13" s="21">
        <f>D9+D10+D11+D12</f>
        <v>1153909</v>
      </c>
    </row>
    <row r="14" spans="1:4" x14ac:dyDescent="0.25">
      <c r="A14" s="12" t="s">
        <v>65</v>
      </c>
      <c r="B14" s="16">
        <f>ROUND(B8-B13,0)</f>
        <v>0</v>
      </c>
      <c r="C14" s="16">
        <f>ROUND(C8-C13,0)</f>
        <v>0</v>
      </c>
      <c r="D14" s="16">
        <f>ROUND(D8-D13,0)</f>
        <v>0</v>
      </c>
    </row>
    <row r="15" spans="1:4" x14ac:dyDescent="0.25">
      <c r="A15" s="12" t="s">
        <v>66</v>
      </c>
      <c r="B15" s="22" t="str">
        <f>IF(B14=0,"OK","ÉCART")</f>
        <v>OK</v>
      </c>
      <c r="C15" s="22" t="str">
        <f>IF(C14=0,"OK","ÉCART")</f>
        <v>OK</v>
      </c>
      <c r="D15" s="22" t="str">
        <f>IF(D14=0,"OK","ÉCART")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 d’emploi</vt:lpstr>
      <vt:lpstr>Hypothèses</vt:lpstr>
      <vt:lpstr>Résultat</vt:lpstr>
      <vt:lpstr>Résultat (corrigé)</vt:lpstr>
      <vt:lpstr>Trésorerie</vt:lpstr>
      <vt:lpstr>Trésorerie (corrigé)</vt:lpstr>
      <vt:lpstr>Bilan</vt:lpstr>
      <vt:lpstr>Bilan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45 — Modèle prévisionnel : résultat, trésorerie et bilan</dc:title>
  <dc:subject/>
  <dc:description/>
  <cp:keywords/>
  <cp:category/>
  <cp:lastModifiedBy>Unknown</cp:lastModifiedBy>
  <dcterms:created xsi:type="dcterms:W3CDTF">2026-10-10T19:16:33Z</dcterms:created>
  <dcterms:modified xsi:type="dcterms:W3CDTF">2026-10-10T19:16:33Z</dcterms:modified>
</cp:coreProperties>
</file>