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Correspondance" state="visible" r:id="rId5"/>
    <sheet sheetId="3" name="Balance" state="visible" r:id="rId6"/>
    <sheet sheetId="4" name="Balance (corrigé)" state="visible" r:id="rId7"/>
    <sheet sheetId="5" name="CPC" state="visible" r:id="rId8"/>
    <sheet sheetId="6" name="CPC (corrigé)" state="visible" r:id="rId9"/>
    <sheet sheetId="7" name="Bilan" state="visible" r:id="rId10"/>
    <sheet sheetId="8" name="Bilan (corrigé)" state="visible" r:id="rId11"/>
  </sheets>
  <calcPr calcId="171027" fullCalcOnLoad="1"/>
</workbook>
</file>

<file path=xl/sharedStrings.xml><?xml version="1.0" encoding="utf-8"?>
<sst xmlns="http://schemas.openxmlformats.org/spreadsheetml/2006/main" count="156" uniqueCount="65">
  <si>
    <t>Épisode 34 — Bilan et CPC : produire les états de synthèse depuis la balance</t>
  </si>
  <si>
    <t>Série « Excel de zéro à héros pour la comptabilité et la finance » — ExpertiseComptable.ma</t>
  </si>
  <si>
    <t>Onglet « Correspondance » : la table qui rattache chaque compte à un poste du bilan ou du CPC. Onglet « Balance » : complétez la colonne F avec RECHERCHEV.</t>
  </si>
  <si>
    <t>Onglet « CPC » : complétez avec SOMME.SI sur les postes (signe moins pour les produits et les charges, car les soldes sont D−C). Onglet « Bilan » : même méthode ; le résultat net vient du CPC.</t>
  </si>
  <si>
    <t>Vérifiez que le total de l’actif égale le total du passif ; sinon, un compte n’est pas rattaché ou le résultat n’est pas repris.</t>
  </si>
  <si>
    <t>Présentation simplifiée à but pédagogique : les états de synthèse du CGNC comportent davantage de postes et de rubriques.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</si>
  <si>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</si>
  <si>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</si>
  <si>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Compte</t>
  </si>
  <si>
    <t>Poste du bilan ou du CPC</t>
  </si>
  <si>
    <t>1111</t>
  </si>
  <si>
    <t>Capital</t>
  </si>
  <si>
    <t>1481</t>
  </si>
  <si>
    <t>Dettes de financement</t>
  </si>
  <si>
    <t>2355</t>
  </si>
  <si>
    <t>Immobilisations corporelles</t>
  </si>
  <si>
    <t>3421</t>
  </si>
  <si>
    <t>Créances de l’actif circulant</t>
  </si>
  <si>
    <t>3455</t>
  </si>
  <si>
    <t>4411</t>
  </si>
  <si>
    <t>Dettes du passif circulant</t>
  </si>
  <si>
    <t>4432</t>
  </si>
  <si>
    <t>4455</t>
  </si>
  <si>
    <t>5141</t>
  </si>
  <si>
    <t>Trésorerie - Actif</t>
  </si>
  <si>
    <t>6111</t>
  </si>
  <si>
    <t>Achats revendus de marchandises</t>
  </si>
  <si>
    <t>6131</t>
  </si>
  <si>
    <t>Autres charges externes</t>
  </si>
  <si>
    <t>6171</t>
  </si>
  <si>
    <t>Charges de personnel</t>
  </si>
  <si>
    <t>6311</t>
  </si>
  <si>
    <t>Charges d’intérêts</t>
  </si>
  <si>
    <t>7111</t>
  </si>
  <si>
    <t>Ventes de marchandises</t>
  </si>
  <si>
    <t>Intitulé</t>
  </si>
  <si>
    <t>Débit</t>
  </si>
  <si>
    <t>Crédit</t>
  </si>
  <si>
    <t>Solde (D−C)</t>
  </si>
  <si>
    <t>Poste (RECHERCHEV)</t>
  </si>
  <si>
    <t>Capital social</t>
  </si>
  <si>
    <t>Emprunts auprès des établissements de crédit</t>
  </si>
  <si>
    <t>Matériel informatique</t>
  </si>
  <si>
    <t>Clients</t>
  </si>
  <si>
    <t>État - TVA récupérable</t>
  </si>
  <si>
    <t>Fournisseurs</t>
  </si>
  <si>
    <t>Rémunérations dues au personnel</t>
  </si>
  <si>
    <t>État, TVA facturée</t>
  </si>
  <si>
    <t>Banques (solde débiteur)</t>
  </si>
  <si>
    <t>Achats de marchandises</t>
  </si>
  <si>
    <t>Locations et charges locatives</t>
  </si>
  <si>
    <t>Rémunérations du personnel</t>
  </si>
  <si>
    <t>Intérêts des emprunts et dettes</t>
  </si>
  <si>
    <t>Ventes de marchandises au Maroc</t>
  </si>
  <si>
    <t>Compte de produits et charges (extrait)</t>
  </si>
  <si>
    <t>Montant</t>
  </si>
  <si>
    <t>Marge brute sur ventes en l’état</t>
  </si>
  <si>
    <t>Résultat d’exploitation</t>
  </si>
  <si>
    <t>Résultat net de l’exercice</t>
  </si>
  <si>
    <t>ACTIF</t>
  </si>
  <si>
    <t>PASSIF</t>
  </si>
  <si>
    <t>Capitaux propres</t>
  </si>
  <si>
    <t>TOTAL ACTIF</t>
  </si>
  <si>
    <t>TOTAL PASSIF</t>
  </si>
  <si>
    <t>Contrôle actif = passif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</si>
</sst>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/>
    <xf numFmtId="0" fontId="3" fillId="0" borderId="1" xfId="0" applyFont="1" applyBorder="1"/>
    <xf numFmtId="0" fontId="3" fillId="2" borderId="1" xfId="0" applyFont="1" applyFill="1" applyBorder="1"/>
    <xf numFmtId="0" fontId="3" fillId="4" borderId="1" xfId="0" applyFont="1" applyFill="1" applyBorder="1"/>
    <xf numFmtId="164" fontId="3" fillId="0" borderId="1" xfId="0" applyNumberFormat="1" applyFont="1" applyBorder="1"/>
    <xf numFmtId="164" fontId="3" fillId="2" borderId="1" xfId="0" applyNumberFormat="1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2" width="37.142857142857146" customWidth="1"/>
  </cols>
  <sheetData>
    <row r="1" spans="1:2" x14ac:dyDescent="0.25">
      <c r="A1" s="6" t="s">
        <v>8</v>
      </c>
      <c r="B1" s="6" t="s">
        <v>9</v>
      </c>
    </row>
    <row r="2" spans="1:2" x14ac:dyDescent="0.25">
      <c r="A2" s="7" t="s">
        <v>10</v>
      </c>
      <c r="B2" s="7" t="s">
        <v>11</v>
      </c>
    </row>
    <row r="3" spans="1:2" x14ac:dyDescent="0.25">
      <c r="A3" s="7" t="s">
        <v>12</v>
      </c>
      <c r="B3" s="7" t="s">
        <v>13</v>
      </c>
    </row>
    <row r="4" spans="1:2" x14ac:dyDescent="0.25">
      <c r="A4" s="7" t="s">
        <v>14</v>
      </c>
      <c r="B4" s="7" t="s">
        <v>15</v>
      </c>
    </row>
    <row r="5" spans="1:2" x14ac:dyDescent="0.25">
      <c r="A5" s="7" t="s">
        <v>16</v>
      </c>
      <c r="B5" s="7" t="s">
        <v>17</v>
      </c>
    </row>
    <row r="6" spans="1:2" x14ac:dyDescent="0.25">
      <c r="A6" s="7" t="s">
        <v>18</v>
      </c>
      <c r="B6" s="7" t="s">
        <v>17</v>
      </c>
    </row>
    <row r="7" spans="1:2" x14ac:dyDescent="0.25">
      <c r="A7" s="7" t="s">
        <v>19</v>
      </c>
      <c r="B7" s="7" t="s">
        <v>20</v>
      </c>
    </row>
    <row r="8" spans="1:2" x14ac:dyDescent="0.25">
      <c r="A8" s="7" t="s">
        <v>21</v>
      </c>
      <c r="B8" s="7" t="s">
        <v>20</v>
      </c>
    </row>
    <row r="9" spans="1:2" x14ac:dyDescent="0.25">
      <c r="A9" s="7" t="s">
        <v>22</v>
      </c>
      <c r="B9" s="7" t="s">
        <v>20</v>
      </c>
    </row>
    <row r="10" spans="1:2" x14ac:dyDescent="0.25">
      <c r="A10" s="7" t="s">
        <v>23</v>
      </c>
      <c r="B10" s="7" t="s">
        <v>24</v>
      </c>
    </row>
    <row r="11" spans="1:2" x14ac:dyDescent="0.25">
      <c r="A11" s="7" t="s">
        <v>25</v>
      </c>
      <c r="B11" s="7" t="s">
        <v>26</v>
      </c>
    </row>
    <row r="12" spans="1:2" x14ac:dyDescent="0.25">
      <c r="A12" s="7" t="s">
        <v>27</v>
      </c>
      <c r="B12" s="7" t="s">
        <v>28</v>
      </c>
    </row>
    <row r="13" spans="1:2" x14ac:dyDescent="0.25">
      <c r="A13" s="7" t="s">
        <v>29</v>
      </c>
      <c r="B13" s="7" t="s">
        <v>30</v>
      </c>
    </row>
    <row r="14" spans="1:2" x14ac:dyDescent="0.25">
      <c r="A14" s="7" t="s">
        <v>31</v>
      </c>
      <c r="B14" s="7" t="s">
        <v>32</v>
      </c>
    </row>
    <row r="15" spans="1:2" x14ac:dyDescent="0.25">
      <c r="A15" s="7" t="s">
        <v>33</v>
      </c>
      <c r="B15" s="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1.42857142857143" customWidth="1"/>
    <col min="3" max="4" width="14.285714285714286" customWidth="1"/>
    <col min="5" max="5" width="15.714285714285714" customWidth="1"/>
    <col min="6" max="6" width="32.857142857142854" customWidth="1"/>
  </cols>
  <sheetData>
    <row r="1" spans="1:6" x14ac:dyDescent="0.25">
      <c r="A1" s="6" t="s">
        <v>8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39</v>
      </c>
    </row>
    <row r="2" spans="1:6" x14ac:dyDescent="0.25">
      <c r="A2" s="7" t="s">
        <v>10</v>
      </c>
      <c r="B2" s="7" t="s">
        <v>40</v>
      </c>
      <c r="C2" s="8">
        <v>0</v>
      </c>
      <c r="D2" s="8">
        <v>200000</v>
      </c>
      <c r="E2" s="9">
        <f>C2-D2</f>
        <v>-200000</v>
      </c>
      <c r="F2" s="10"/>
    </row>
    <row r="3" spans="1:6" x14ac:dyDescent="0.25">
      <c r="A3" s="7" t="s">
        <v>12</v>
      </c>
      <c r="B3" s="7" t="s">
        <v>41</v>
      </c>
      <c r="C3" s="8">
        <v>0</v>
      </c>
      <c r="D3" s="8">
        <v>50000</v>
      </c>
      <c r="E3" s="9">
        <f>C3-D3</f>
        <v>-50000</v>
      </c>
      <c r="F3" s="10"/>
    </row>
    <row r="4" spans="1:6" x14ac:dyDescent="0.25">
      <c r="A4" s="7" t="s">
        <v>14</v>
      </c>
      <c r="B4" s="7" t="s">
        <v>42</v>
      </c>
      <c r="C4" s="8">
        <v>12000</v>
      </c>
      <c r="D4" s="8">
        <v>0</v>
      </c>
      <c r="E4" s="9">
        <f>C4-D4</f>
        <v>12000</v>
      </c>
      <c r="F4" s="10"/>
    </row>
    <row r="5" spans="1:6" x14ac:dyDescent="0.25">
      <c r="A5" s="7" t="s">
        <v>16</v>
      </c>
      <c r="B5" s="7" t="s">
        <v>43</v>
      </c>
      <c r="C5" s="8">
        <v>15600</v>
      </c>
      <c r="D5" s="8">
        <v>6000</v>
      </c>
      <c r="E5" s="9">
        <f>C5-D5</f>
        <v>9600</v>
      </c>
      <c r="F5" s="10"/>
    </row>
    <row r="6" spans="1:6" x14ac:dyDescent="0.25">
      <c r="A6" s="7" t="s">
        <v>18</v>
      </c>
      <c r="B6" s="7" t="s">
        <v>44</v>
      </c>
      <c r="C6" s="8">
        <v>5200</v>
      </c>
      <c r="D6" s="8">
        <v>0</v>
      </c>
      <c r="E6" s="9">
        <f>C6-D6</f>
        <v>5200</v>
      </c>
      <c r="F6" s="10"/>
    </row>
    <row r="7" spans="1:6" x14ac:dyDescent="0.25">
      <c r="A7" s="7" t="s">
        <v>19</v>
      </c>
      <c r="B7" s="7" t="s">
        <v>45</v>
      </c>
      <c r="C7" s="8">
        <v>12000</v>
      </c>
      <c r="D7" s="8">
        <v>31200</v>
      </c>
      <c r="E7" s="9">
        <f>C7-D7</f>
        <v>-19200</v>
      </c>
      <c r="F7" s="10"/>
    </row>
    <row r="8" spans="1:6" x14ac:dyDescent="0.25">
      <c r="A8" s="7" t="s">
        <v>21</v>
      </c>
      <c r="B8" s="7" t="s">
        <v>46</v>
      </c>
      <c r="C8" s="8">
        <v>40000</v>
      </c>
      <c r="D8" s="8">
        <v>40000</v>
      </c>
      <c r="E8" s="9">
        <f>C8-D8</f>
        <v>0</v>
      </c>
      <c r="F8" s="10"/>
    </row>
    <row r="9" spans="1:6" x14ac:dyDescent="0.25">
      <c r="A9" s="7" t="s">
        <v>22</v>
      </c>
      <c r="B9" s="7" t="s">
        <v>47</v>
      </c>
      <c r="C9" s="8">
        <v>0</v>
      </c>
      <c r="D9" s="8">
        <v>2600</v>
      </c>
      <c r="E9" s="9">
        <f>C9-D9</f>
        <v>-2600</v>
      </c>
      <c r="F9" s="10"/>
    </row>
    <row r="10" spans="1:6" x14ac:dyDescent="0.25">
      <c r="A10" s="7" t="s">
        <v>23</v>
      </c>
      <c r="B10" s="7" t="s">
        <v>48</v>
      </c>
      <c r="C10" s="8">
        <v>256000</v>
      </c>
      <c r="D10" s="8">
        <v>61000</v>
      </c>
      <c r="E10" s="9">
        <f>C10-D10</f>
        <v>195000</v>
      </c>
      <c r="F10" s="10"/>
    </row>
    <row r="11" spans="1:6" x14ac:dyDescent="0.25">
      <c r="A11" s="7" t="s">
        <v>25</v>
      </c>
      <c r="B11" s="7" t="s">
        <v>49</v>
      </c>
      <c r="C11" s="8">
        <v>14000</v>
      </c>
      <c r="D11" s="8">
        <v>0</v>
      </c>
      <c r="E11" s="9">
        <f>C11-D11</f>
        <v>14000</v>
      </c>
      <c r="F11" s="10"/>
    </row>
    <row r="12" spans="1:6" x14ac:dyDescent="0.25">
      <c r="A12" s="7" t="s">
        <v>27</v>
      </c>
      <c r="B12" s="7" t="s">
        <v>50</v>
      </c>
      <c r="C12" s="8">
        <v>8500</v>
      </c>
      <c r="D12" s="8">
        <v>0</v>
      </c>
      <c r="E12" s="9">
        <f>C12-D12</f>
        <v>8500</v>
      </c>
      <c r="F12" s="10"/>
    </row>
    <row r="13" spans="1:6" x14ac:dyDescent="0.25">
      <c r="A13" s="7" t="s">
        <v>29</v>
      </c>
      <c r="B13" s="7" t="s">
        <v>51</v>
      </c>
      <c r="C13" s="8">
        <v>40000</v>
      </c>
      <c r="D13" s="8">
        <v>0</v>
      </c>
      <c r="E13" s="9">
        <f>C13-D13</f>
        <v>40000</v>
      </c>
      <c r="F13" s="10"/>
    </row>
    <row r="14" spans="1:6" x14ac:dyDescent="0.25">
      <c r="A14" s="7" t="s">
        <v>31</v>
      </c>
      <c r="B14" s="7" t="s">
        <v>52</v>
      </c>
      <c r="C14" s="8">
        <v>500</v>
      </c>
      <c r="D14" s="8">
        <v>0</v>
      </c>
      <c r="E14" s="9">
        <f>C14-D14</f>
        <v>500</v>
      </c>
      <c r="F14" s="10"/>
    </row>
    <row r="15" spans="1:6" x14ac:dyDescent="0.25">
      <c r="A15" s="7" t="s">
        <v>33</v>
      </c>
      <c r="B15" s="7" t="s">
        <v>53</v>
      </c>
      <c r="C15" s="8">
        <v>0</v>
      </c>
      <c r="D15" s="8">
        <v>13000</v>
      </c>
      <c r="E15" s="9">
        <f>C15-D15</f>
        <v>-13000</v>
      </c>
      <c r="F15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1.42857142857143" customWidth="1"/>
    <col min="3" max="4" width="14.285714285714286" customWidth="1"/>
    <col min="5" max="5" width="15.714285714285714" customWidth="1"/>
    <col min="6" max="6" width="32.857142857142854" customWidth="1"/>
  </cols>
  <sheetData>
    <row r="1" spans="1:6" x14ac:dyDescent="0.25">
      <c r="A1" s="6" t="s">
        <v>8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39</v>
      </c>
    </row>
    <row r="2" spans="1:6" x14ac:dyDescent="0.25">
      <c r="A2" s="7" t="s">
        <v>10</v>
      </c>
      <c r="B2" s="7" t="s">
        <v>40</v>
      </c>
      <c r="C2" s="8">
        <v>0</v>
      </c>
      <c r="D2" s="8">
        <v>200000</v>
      </c>
      <c r="E2" s="9">
        <f>C2-D2</f>
        <v>-200000</v>
      </c>
      <c r="F2" s="7" t="str">
        <f>VLOOKUP(A2,Correspondance!$A$2:$B$15,2,FALSE)</f>
        <v>Capital</v>
      </c>
    </row>
    <row r="3" spans="1:6" x14ac:dyDescent="0.25">
      <c r="A3" s="7" t="s">
        <v>12</v>
      </c>
      <c r="B3" s="7" t="s">
        <v>41</v>
      </c>
      <c r="C3" s="8">
        <v>0</v>
      </c>
      <c r="D3" s="8">
        <v>50000</v>
      </c>
      <c r="E3" s="9">
        <f>C3-D3</f>
        <v>-50000</v>
      </c>
      <c r="F3" s="7" t="str">
        <f>VLOOKUP(A3,Correspondance!$A$2:$B$15,2,FALSE)</f>
        <v>Dettes de financement</v>
      </c>
    </row>
    <row r="4" spans="1:6" x14ac:dyDescent="0.25">
      <c r="A4" s="7" t="s">
        <v>14</v>
      </c>
      <c r="B4" s="7" t="s">
        <v>42</v>
      </c>
      <c r="C4" s="8">
        <v>12000</v>
      </c>
      <c r="D4" s="8">
        <v>0</v>
      </c>
      <c r="E4" s="9">
        <f>C4-D4</f>
        <v>12000</v>
      </c>
      <c r="F4" s="7" t="str">
        <f>VLOOKUP(A4,Correspondance!$A$2:$B$15,2,FALSE)</f>
        <v>Immobilisations corporelles</v>
      </c>
    </row>
    <row r="5" spans="1:6" x14ac:dyDescent="0.25">
      <c r="A5" s="7" t="s">
        <v>16</v>
      </c>
      <c r="B5" s="7" t="s">
        <v>43</v>
      </c>
      <c r="C5" s="8">
        <v>15600</v>
      </c>
      <c r="D5" s="8">
        <v>6000</v>
      </c>
      <c r="E5" s="9">
        <f>C5-D5</f>
        <v>9600</v>
      </c>
      <c r="F5" s="7" t="str">
        <f>VLOOKUP(A5,Correspondance!$A$2:$B$15,2,FALSE)</f>
        <v>Créances de l’actif circulant</v>
      </c>
    </row>
    <row r="6" spans="1:6" x14ac:dyDescent="0.25">
      <c r="A6" s="7" t="s">
        <v>18</v>
      </c>
      <c r="B6" s="7" t="s">
        <v>44</v>
      </c>
      <c r="C6" s="8">
        <v>5200</v>
      </c>
      <c r="D6" s="8">
        <v>0</v>
      </c>
      <c r="E6" s="9">
        <f>C6-D6</f>
        <v>5200</v>
      </c>
      <c r="F6" s="7" t="str">
        <f>VLOOKUP(A6,Correspondance!$A$2:$B$15,2,FALSE)</f>
        <v>Créances de l’actif circulant</v>
      </c>
    </row>
    <row r="7" spans="1:6" x14ac:dyDescent="0.25">
      <c r="A7" s="7" t="s">
        <v>19</v>
      </c>
      <c r="B7" s="7" t="s">
        <v>45</v>
      </c>
      <c r="C7" s="8">
        <v>12000</v>
      </c>
      <c r="D7" s="8">
        <v>31200</v>
      </c>
      <c r="E7" s="9">
        <f>C7-D7</f>
        <v>-19200</v>
      </c>
      <c r="F7" s="7" t="str">
        <f>VLOOKUP(A7,Correspondance!$A$2:$B$15,2,FALSE)</f>
        <v>Dettes du passif circulant</v>
      </c>
    </row>
    <row r="8" spans="1:6" x14ac:dyDescent="0.25">
      <c r="A8" s="7" t="s">
        <v>21</v>
      </c>
      <c r="B8" s="7" t="s">
        <v>46</v>
      </c>
      <c r="C8" s="8">
        <v>40000</v>
      </c>
      <c r="D8" s="8">
        <v>40000</v>
      </c>
      <c r="E8" s="9">
        <f>C8-D8</f>
        <v>0</v>
      </c>
      <c r="F8" s="7" t="str">
        <f>VLOOKUP(A8,Correspondance!$A$2:$B$15,2,FALSE)</f>
        <v>Dettes du passif circulant</v>
      </c>
    </row>
    <row r="9" spans="1:6" x14ac:dyDescent="0.25">
      <c r="A9" s="7" t="s">
        <v>22</v>
      </c>
      <c r="B9" s="7" t="s">
        <v>47</v>
      </c>
      <c r="C9" s="8">
        <v>0</v>
      </c>
      <c r="D9" s="8">
        <v>2600</v>
      </c>
      <c r="E9" s="9">
        <f>C9-D9</f>
        <v>-2600</v>
      </c>
      <c r="F9" s="7" t="str">
        <f>VLOOKUP(A9,Correspondance!$A$2:$B$15,2,FALSE)</f>
        <v>Dettes du passif circulant</v>
      </c>
    </row>
    <row r="10" spans="1:6" x14ac:dyDescent="0.25">
      <c r="A10" s="7" t="s">
        <v>23</v>
      </c>
      <c r="B10" s="7" t="s">
        <v>48</v>
      </c>
      <c r="C10" s="8">
        <v>256000</v>
      </c>
      <c r="D10" s="8">
        <v>61000</v>
      </c>
      <c r="E10" s="9">
        <f>C10-D10</f>
        <v>195000</v>
      </c>
      <c r="F10" s="7" t="str">
        <f>VLOOKUP(A10,Correspondance!$A$2:$B$15,2,FALSE)</f>
        <v>Trésorerie - Actif</v>
      </c>
    </row>
    <row r="11" spans="1:6" x14ac:dyDescent="0.25">
      <c r="A11" s="7" t="s">
        <v>25</v>
      </c>
      <c r="B11" s="7" t="s">
        <v>49</v>
      </c>
      <c r="C11" s="8">
        <v>14000</v>
      </c>
      <c r="D11" s="8">
        <v>0</v>
      </c>
      <c r="E11" s="9">
        <f>C11-D11</f>
        <v>14000</v>
      </c>
      <c r="F11" s="7" t="str">
        <f>VLOOKUP(A11,Correspondance!$A$2:$B$15,2,FALSE)</f>
        <v>Achats revendus de marchandises</v>
      </c>
    </row>
    <row r="12" spans="1:6" x14ac:dyDescent="0.25">
      <c r="A12" s="7" t="s">
        <v>27</v>
      </c>
      <c r="B12" s="7" t="s">
        <v>50</v>
      </c>
      <c r="C12" s="8">
        <v>8500</v>
      </c>
      <c r="D12" s="8">
        <v>0</v>
      </c>
      <c r="E12" s="9">
        <f>C12-D12</f>
        <v>8500</v>
      </c>
      <c r="F12" s="7" t="str">
        <f>VLOOKUP(A12,Correspondance!$A$2:$B$15,2,FALSE)</f>
        <v>Autres charges externes</v>
      </c>
    </row>
    <row r="13" spans="1:6" x14ac:dyDescent="0.25">
      <c r="A13" s="7" t="s">
        <v>29</v>
      </c>
      <c r="B13" s="7" t="s">
        <v>51</v>
      </c>
      <c r="C13" s="8">
        <v>40000</v>
      </c>
      <c r="D13" s="8">
        <v>0</v>
      </c>
      <c r="E13" s="9">
        <f>C13-D13</f>
        <v>40000</v>
      </c>
      <c r="F13" s="7" t="str">
        <f>VLOOKUP(A13,Correspondance!$A$2:$B$15,2,FALSE)</f>
        <v>Charges de personnel</v>
      </c>
    </row>
    <row r="14" spans="1:6" x14ac:dyDescent="0.25">
      <c r="A14" s="7" t="s">
        <v>31</v>
      </c>
      <c r="B14" s="7" t="s">
        <v>52</v>
      </c>
      <c r="C14" s="8">
        <v>500</v>
      </c>
      <c r="D14" s="8">
        <v>0</v>
      </c>
      <c r="E14" s="9">
        <f>C14-D14</f>
        <v>500</v>
      </c>
      <c r="F14" s="7" t="str">
        <f>VLOOKUP(A14,Correspondance!$A$2:$B$15,2,FALSE)</f>
        <v>Charges d’intérêts</v>
      </c>
    </row>
    <row r="15" spans="1:6" x14ac:dyDescent="0.25">
      <c r="A15" s="7" t="s">
        <v>33</v>
      </c>
      <c r="B15" s="7" t="s">
        <v>53</v>
      </c>
      <c r="C15" s="8">
        <v>0</v>
      </c>
      <c r="D15" s="8">
        <v>13000</v>
      </c>
      <c r="E15" s="9">
        <f>C15-D15</f>
        <v>-13000</v>
      </c>
      <c r="F15" s="7" t="str">
        <f>VLOOKUP(A15,Correspondance!$A$2:$B$15,2,FALSE)</f>
        <v>Ventes de marchandises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5.714285714285715" customWidth="1"/>
    <col min="2" max="2" width="18.571428571428573" customWidth="1"/>
  </cols>
  <sheetData>
    <row r="1" spans="1:2" x14ac:dyDescent="0.25">
      <c r="A1" s="6" t="s">
        <v>54</v>
      </c>
      <c r="B1" s="6" t="s">
        <v>55</v>
      </c>
    </row>
    <row r="2" spans="1:2" x14ac:dyDescent="0.25">
      <c r="A2" s="7" t="s">
        <v>34</v>
      </c>
      <c r="B2" s="11"/>
    </row>
    <row r="3" spans="1:2" x14ac:dyDescent="0.25">
      <c r="A3" s="7" t="s">
        <v>26</v>
      </c>
      <c r="B3" s="11"/>
    </row>
    <row r="4" spans="1:2" x14ac:dyDescent="0.25">
      <c r="A4" s="12" t="s">
        <v>56</v>
      </c>
      <c r="B4" s="11"/>
    </row>
    <row r="5" spans="1:2" x14ac:dyDescent="0.25">
      <c r="A5" s="7" t="s">
        <v>28</v>
      </c>
      <c r="B5" s="11"/>
    </row>
    <row r="6" spans="1:2" x14ac:dyDescent="0.25">
      <c r="A6" s="7" t="s">
        <v>30</v>
      </c>
      <c r="B6" s="11"/>
    </row>
    <row r="7" spans="1:2" x14ac:dyDescent="0.25">
      <c r="A7" s="13" t="s">
        <v>57</v>
      </c>
      <c r="B7" s="11"/>
    </row>
    <row r="8" spans="1:2" x14ac:dyDescent="0.25">
      <c r="A8" s="7" t="s">
        <v>32</v>
      </c>
      <c r="B8" s="11"/>
    </row>
    <row r="9" spans="1:2" x14ac:dyDescent="0.25">
      <c r="A9" s="14" t="s">
        <v>58</v>
      </c>
      <c r="B9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5.714285714285715" customWidth="1"/>
    <col min="2" max="2" width="18.571428571428573" customWidth="1"/>
  </cols>
  <sheetData>
    <row r="1" spans="1:2" x14ac:dyDescent="0.25">
      <c r="A1" s="6" t="s">
        <v>54</v>
      </c>
      <c r="B1" s="6" t="s">
        <v>55</v>
      </c>
    </row>
    <row r="2" spans="1:2" x14ac:dyDescent="0.25">
      <c r="A2" s="7" t="s">
        <v>34</v>
      </c>
      <c r="B2" s="9">
        <f>-SUMIF(Balance!$F$2:$F$15,"Ventes de marchandises",Balance!$E$2:$E$15)</f>
        <v>13000</v>
      </c>
    </row>
    <row r="3" spans="1:2" x14ac:dyDescent="0.25">
      <c r="A3" s="7" t="s">
        <v>26</v>
      </c>
      <c r="B3" s="9">
        <f>-SUMIF(Balance!$F$2:$F$15,"Achats revendus de marchandises",Balance!$E$2:$E$15)</f>
        <v>-14000</v>
      </c>
    </row>
    <row r="4" spans="1:2" x14ac:dyDescent="0.25">
      <c r="A4" s="12" t="s">
        <v>56</v>
      </c>
      <c r="B4" s="15">
        <f>B2+B3</f>
        <v>-1000</v>
      </c>
    </row>
    <row r="5" spans="1:2" x14ac:dyDescent="0.25">
      <c r="A5" s="7" t="s">
        <v>28</v>
      </c>
      <c r="B5" s="9">
        <f>-SUMIF(Balance!$F$2:$F$15,"Autres charges externes",Balance!$E$2:$E$15)</f>
        <v>-8500</v>
      </c>
    </row>
    <row r="6" spans="1:2" x14ac:dyDescent="0.25">
      <c r="A6" s="7" t="s">
        <v>30</v>
      </c>
      <c r="B6" s="9">
        <f>-SUMIF(Balance!$F$2:$F$15,"Charges de personnel",Balance!$E$2:$E$15)</f>
        <v>-40000</v>
      </c>
    </row>
    <row r="7" spans="1:2" x14ac:dyDescent="0.25">
      <c r="A7" s="13" t="s">
        <v>57</v>
      </c>
      <c r="B7" s="16">
        <f>B4+B5+B6</f>
        <v>-49500</v>
      </c>
    </row>
    <row r="8" spans="1:2" x14ac:dyDescent="0.25">
      <c r="A8" s="7" t="s">
        <v>32</v>
      </c>
      <c r="B8" s="9">
        <f>-SUMIF(Balance!$F$2:$F$15,"Charges d’intérêts",Balance!$E$2:$E$15)</f>
        <v>-500</v>
      </c>
    </row>
    <row r="9" spans="1:2" x14ac:dyDescent="0.25">
      <c r="A9" s="14" t="s">
        <v>58</v>
      </c>
      <c r="B9" s="17">
        <f>B7+B8</f>
        <v>-50000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2" width="17.142857142857142" customWidth="1"/>
    <col min="3" max="3" width="6" customWidth="1"/>
    <col min="4" max="4" width="35.714285714285715" customWidth="1"/>
    <col min="5" max="5" width="17.142857142857142" customWidth="1"/>
  </cols>
  <sheetData>
    <row r="1" spans="1:5" x14ac:dyDescent="0.25">
      <c r="A1" s="6" t="s">
        <v>59</v>
      </c>
      <c r="B1" s="6" t="s">
        <v>55</v>
      </c>
      <c r="D1" s="6" t="s">
        <v>60</v>
      </c>
      <c r="E1" s="6" t="s">
        <v>55</v>
      </c>
    </row>
    <row r="2" spans="1:5" x14ac:dyDescent="0.25">
      <c r="A2" s="7" t="s">
        <v>15</v>
      </c>
      <c r="B2" s="11"/>
      <c r="D2" s="7" t="s">
        <v>11</v>
      </c>
      <c r="E2" s="11"/>
    </row>
    <row r="3" spans="1:5" x14ac:dyDescent="0.25">
      <c r="A3" s="7" t="s">
        <v>17</v>
      </c>
      <c r="B3" s="11"/>
      <c r="D3" s="7" t="s">
        <v>58</v>
      </c>
      <c r="E3" s="11"/>
    </row>
    <row r="4" spans="1:5" x14ac:dyDescent="0.25">
      <c r="A4" s="7" t="s">
        <v>24</v>
      </c>
      <c r="B4" s="11"/>
      <c r="D4" s="12" t="s">
        <v>61</v>
      </c>
      <c r="E4" s="11"/>
    </row>
    <row r="5" spans="1:5" x14ac:dyDescent="0.25">
      <c r="B5" s="10"/>
      <c r="D5" s="7" t="s">
        <v>13</v>
      </c>
      <c r="E5" s="11"/>
    </row>
    <row r="6" spans="1:5" x14ac:dyDescent="0.25">
      <c r="B6" s="10"/>
      <c r="D6" s="7" t="s">
        <v>20</v>
      </c>
      <c r="E6" s="11"/>
    </row>
    <row r="7" spans="1:5" x14ac:dyDescent="0.25">
      <c r="A7" s="13" t="s">
        <v>62</v>
      </c>
      <c r="B7" s="11"/>
      <c r="D7" s="13" t="s">
        <v>63</v>
      </c>
      <c r="E7" s="11"/>
    </row>
    <row r="8" spans="1:2" x14ac:dyDescent="0.25">
      <c r="A8" s="7" t="s">
        <v>64</v>
      </c>
      <c r="B8" s="18" t="str">
        <f>IF(ROUND(B7-E7,2)=0,"OK","ÉCART")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2" width="17.142857142857142" customWidth="1"/>
    <col min="3" max="3" width="6" customWidth="1"/>
    <col min="4" max="4" width="35.714285714285715" customWidth="1"/>
    <col min="5" max="5" width="17.142857142857142" customWidth="1"/>
  </cols>
  <sheetData>
    <row r="1" spans="1:5" x14ac:dyDescent="0.25">
      <c r="A1" s="6" t="s">
        <v>59</v>
      </c>
      <c r="B1" s="6" t="s">
        <v>55</v>
      </c>
      <c r="D1" s="6" t="s">
        <v>60</v>
      </c>
      <c r="E1" s="6" t="s">
        <v>55</v>
      </c>
    </row>
    <row r="2" spans="1:5" x14ac:dyDescent="0.25">
      <c r="A2" s="7" t="s">
        <v>15</v>
      </c>
      <c r="B2" s="9">
        <f>SUMIF(Balance!$F$2:$F$15,"Immobilisations corporelles",Balance!$E$2:$E$15)</f>
        <v>12000</v>
      </c>
      <c r="D2" s="7" t="s">
        <v>11</v>
      </c>
      <c r="E2" s="9">
        <f>-SUMIF(Balance!$F$2:$F$15,"Capital",Balance!$E$2:$E$15)</f>
        <v>200000</v>
      </c>
    </row>
    <row r="3" spans="1:5" x14ac:dyDescent="0.25">
      <c r="A3" s="7" t="s">
        <v>17</v>
      </c>
      <c r="B3" s="9">
        <f>SUMIF(Balance!$F$2:$F$15,"Créances de l’actif circulant",Balance!$E$2:$E$15)</f>
        <v>14800</v>
      </c>
      <c r="D3" s="7" t="s">
        <v>58</v>
      </c>
      <c r="E3" s="9">
        <f>CPC!B9</f>
        <v>-50000</v>
      </c>
    </row>
    <row r="4" spans="1:5" x14ac:dyDescent="0.25">
      <c r="A4" s="7" t="s">
        <v>24</v>
      </c>
      <c r="B4" s="9">
        <f>SUMIF(Balance!$F$2:$F$15,"Trésorerie - Actif",Balance!$E$2:$E$15)</f>
        <v>195000</v>
      </c>
      <c r="D4" s="12" t="s">
        <v>61</v>
      </c>
      <c r="E4" s="15">
        <f>E2+E3</f>
        <v>150000</v>
      </c>
    </row>
    <row r="5" spans="1:5" x14ac:dyDescent="0.25">
      <c r="D5" s="7" t="s">
        <v>13</v>
      </c>
      <c r="E5" s="9">
        <f>-SUMIF(Balance!$F$2:$F$15,"Dettes de financement",Balance!$E$2:$E$15)</f>
        <v>50000</v>
      </c>
    </row>
    <row r="6" spans="1:5" x14ac:dyDescent="0.25">
      <c r="D6" s="7" t="s">
        <v>20</v>
      </c>
      <c r="E6" s="9">
        <f>-SUMIF(Balance!$F$2:$F$15,"Dettes du passif circulant",Balance!$E$2:$E$15)</f>
        <v>21800</v>
      </c>
    </row>
    <row r="7" spans="1:5" x14ac:dyDescent="0.25">
      <c r="A7" s="13" t="s">
        <v>62</v>
      </c>
      <c r="B7" s="16">
        <f>SUM(B2:B4)</f>
        <v>221800</v>
      </c>
      <c r="D7" s="13" t="s">
        <v>63</v>
      </c>
      <c r="E7" s="16">
        <f>E4+E5+E6</f>
        <v>221800</v>
      </c>
    </row>
    <row r="8" spans="1:2" x14ac:dyDescent="0.25">
      <c r="A8" s="7" t="s">
        <v>64</v>
      </c>
      <c r="B8" s="18" t="str">
        <f>IF(ROUND(B7-E7,2)=0,"OK","ÉCART")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 d’emploi</vt:lpstr>
      <vt:lpstr>Correspondance</vt:lpstr>
      <vt:lpstr>Balance</vt:lpstr>
      <vt:lpstr>Balance (corrigé)</vt:lpstr>
      <vt:lpstr>CPC</vt:lpstr>
      <vt:lpstr>CPC (corrigé)</vt:lpstr>
      <vt:lpstr>Bilan</vt:lpstr>
      <vt:lpstr>Bilan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34 — Bilan et CPC : produire les états de synthèse depuis la balance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